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florida-my.sharepoint.com/personal/devries_ufl_edu/Documents/Projects/Models/semenvalue/"/>
    </mc:Choice>
  </mc:AlternateContent>
  <xr:revisionPtr revIDLastSave="1157" documentId="8_{4B1FCC74-16C0-42DE-84A8-04FBCEC15884}" xr6:coauthVersionLast="47" xr6:coauthVersionMax="47" xr10:uidLastSave="{8DE17248-1384-4778-97B1-0683F6278537}"/>
  <bookViews>
    <workbookView xWindow="-120" yWindow="-120" windowWidth="29040" windowHeight="15720" activeTab="2" xr2:uid="{00000000-000D-0000-FFFF-FFFF00000000}"/>
  </bookViews>
  <sheets>
    <sheet name="notes" sheetId="4" r:id="rId1"/>
    <sheet name="comparison" sheetId="9" r:id="rId2"/>
    <sheet name="geneflow&amp;discounting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5" l="1"/>
  <c r="G8" i="15"/>
  <c r="G9" i="15" s="1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G28" i="15" s="1"/>
  <c r="G29" i="15" s="1"/>
  <c r="F9" i="15"/>
  <c r="F10" i="15" s="1"/>
  <c r="F11" i="15" s="1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29" i="15" s="1"/>
  <c r="I29" i="15" s="1"/>
  <c r="H44" i="9"/>
  <c r="J29" i="15" l="1"/>
  <c r="H8" i="15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H28" i="15" s="1"/>
  <c r="H29" i="15" s="1"/>
  <c r="J8" i="15"/>
  <c r="K8" i="15" s="1"/>
  <c r="I11" i="15"/>
  <c r="J11" i="15" s="1"/>
  <c r="I10" i="15"/>
  <c r="J10" i="15" s="1"/>
  <c r="I24" i="15"/>
  <c r="J24" i="15" s="1"/>
  <c r="I23" i="15"/>
  <c r="J23" i="15" s="1"/>
  <c r="I22" i="15"/>
  <c r="J22" i="15" s="1"/>
  <c r="I26" i="15"/>
  <c r="J26" i="15" s="1"/>
  <c r="I21" i="15"/>
  <c r="J21" i="15" s="1"/>
  <c r="I20" i="15"/>
  <c r="J20" i="15" s="1"/>
  <c r="I19" i="15"/>
  <c r="J19" i="15" s="1"/>
  <c r="I18" i="15"/>
  <c r="J18" i="15" s="1"/>
  <c r="I17" i="15"/>
  <c r="J17" i="15" s="1"/>
  <c r="I27" i="15"/>
  <c r="J27" i="15" s="1"/>
  <c r="I16" i="15"/>
  <c r="J16" i="15" s="1"/>
  <c r="I9" i="15"/>
  <c r="J9" i="15" s="1"/>
  <c r="I15" i="15"/>
  <c r="J15" i="15" s="1"/>
  <c r="I14" i="15"/>
  <c r="J14" i="15" s="1"/>
  <c r="I13" i="15"/>
  <c r="J13" i="15" s="1"/>
  <c r="I28" i="15"/>
  <c r="J28" i="15" s="1"/>
  <c r="I12" i="15"/>
  <c r="J12" i="15" s="1"/>
  <c r="I25" i="15"/>
  <c r="J25" i="15" s="1"/>
  <c r="K9" i="15" l="1"/>
  <c r="K10" i="15" s="1"/>
  <c r="K11" i="15" s="1"/>
  <c r="K12" i="15" s="1"/>
  <c r="K13" i="15" s="1"/>
  <c r="K14" i="15" s="1"/>
  <c r="K15" i="15" s="1"/>
  <c r="K16" i="15" s="1"/>
  <c r="K17" i="15" s="1"/>
  <c r="K18" i="15" s="1"/>
  <c r="K19" i="15" s="1"/>
  <c r="K20" i="15" s="1"/>
  <c r="K21" i="15" s="1"/>
  <c r="K22" i="15" s="1"/>
  <c r="K23" i="15" s="1"/>
  <c r="K24" i="15" s="1"/>
  <c r="K25" i="15" s="1"/>
  <c r="K26" i="15" s="1"/>
  <c r="K27" i="15" s="1"/>
  <c r="K28" i="15" s="1"/>
  <c r="K29" i="15" s="1"/>
  <c r="K5" i="15" s="1"/>
  <c r="J47" i="9" l="1"/>
  <c r="J50" i="9"/>
  <c r="J51" i="9"/>
  <c r="G38" i="9"/>
  <c r="J36" i="9"/>
  <c r="J18" i="9"/>
  <c r="H41" i="9"/>
  <c r="I31" i="9"/>
  <c r="H31" i="9"/>
  <c r="I13" i="9"/>
  <c r="H13" i="9"/>
  <c r="H14" i="9" s="1"/>
  <c r="H58" i="9"/>
  <c r="I58" i="9"/>
  <c r="J12" i="9"/>
  <c r="J30" i="9"/>
  <c r="H27" i="9"/>
  <c r="G67" i="9" s="1"/>
  <c r="I46" i="9"/>
  <c r="I47" i="9"/>
  <c r="I48" i="9"/>
  <c r="I49" i="9"/>
  <c r="I50" i="9"/>
  <c r="I51" i="9"/>
  <c r="H46" i="9"/>
  <c r="J46" i="9" s="1"/>
  <c r="H47" i="9"/>
  <c r="H48" i="9"/>
  <c r="H49" i="9"/>
  <c r="J49" i="9" s="1"/>
  <c r="H50" i="9"/>
  <c r="H51" i="9"/>
  <c r="I10" i="9"/>
  <c r="I19" i="9" s="1"/>
  <c r="I20" i="9" s="1"/>
  <c r="H10" i="9"/>
  <c r="J9" i="9"/>
  <c r="I41" i="9"/>
  <c r="I27" i="9"/>
  <c r="I39" i="9" s="1"/>
  <c r="J15" i="9"/>
  <c r="J11" i="9"/>
  <c r="J8" i="9"/>
  <c r="J7" i="9"/>
  <c r="J48" i="9" l="1"/>
  <c r="H68" i="9"/>
  <c r="H19" i="9"/>
  <c r="H20" i="9" s="1"/>
  <c r="H39" i="9"/>
  <c r="J39" i="9" s="1"/>
  <c r="H28" i="9"/>
  <c r="H32" i="9" s="1"/>
  <c r="H42" i="9" s="1"/>
  <c r="J31" i="9"/>
  <c r="H26" i="9"/>
  <c r="H37" i="9" s="1"/>
  <c r="H38" i="9" s="1"/>
  <c r="J25" i="9"/>
  <c r="J10" i="9"/>
  <c r="J58" i="9"/>
  <c r="J27" i="9"/>
  <c r="J41" i="9"/>
  <c r="J29" i="9"/>
  <c r="J23" i="9"/>
  <c r="J33" i="9"/>
  <c r="J43" i="9"/>
  <c r="J40" i="9"/>
  <c r="J19" i="9" l="1"/>
  <c r="H17" i="9"/>
  <c r="H55" i="9" s="1"/>
  <c r="H16" i="9"/>
  <c r="H63" i="9" s="1"/>
  <c r="I14" i="9"/>
  <c r="H21" i="9"/>
  <c r="I26" i="9"/>
  <c r="I37" i="9" s="1"/>
  <c r="I38" i="9" s="1"/>
  <c r="J24" i="9"/>
  <c r="H53" i="9" l="1"/>
  <c r="J38" i="9"/>
  <c r="J37" i="9"/>
  <c r="J20" i="9"/>
  <c r="J13" i="9"/>
  <c r="I68" i="9"/>
  <c r="I17" i="9"/>
  <c r="I55" i="9" s="1"/>
  <c r="I16" i="9"/>
  <c r="I53" i="9" s="1"/>
  <c r="H64" i="9"/>
  <c r="H34" i="9"/>
  <c r="H54" i="9" s="1"/>
  <c r="H35" i="9"/>
  <c r="H59" i="9"/>
  <c r="H69" i="9" s="1"/>
  <c r="I21" i="9"/>
  <c r="J21" i="9" s="1"/>
  <c r="I28" i="9"/>
  <c r="J26" i="9"/>
  <c r="J14" i="9"/>
  <c r="J16" i="9" l="1"/>
  <c r="J17" i="9"/>
  <c r="H66" i="9"/>
  <c r="H56" i="9"/>
  <c r="H65" i="9"/>
  <c r="I63" i="9"/>
  <c r="I64" i="9"/>
  <c r="J55" i="9"/>
  <c r="I35" i="9"/>
  <c r="I34" i="9"/>
  <c r="I54" i="9" s="1"/>
  <c r="I32" i="9"/>
  <c r="I59" i="9" s="1"/>
  <c r="I69" i="9" s="1"/>
  <c r="J28" i="9"/>
  <c r="H67" i="9" l="1"/>
  <c r="I65" i="9"/>
  <c r="I66" i="9"/>
  <c r="I56" i="9"/>
  <c r="J53" i="9"/>
  <c r="J32" i="9"/>
  <c r="I42" i="9"/>
  <c r="I44" i="9" s="1"/>
  <c r="I57" i="9" s="1"/>
  <c r="J59" i="9"/>
  <c r="J35" i="9"/>
  <c r="J34" i="9"/>
  <c r="I67" i="9" l="1"/>
  <c r="J42" i="9"/>
  <c r="J54" i="9"/>
  <c r="J56" i="9"/>
  <c r="J44" i="9"/>
  <c r="H57" i="9"/>
  <c r="J57" i="9" l="1"/>
  <c r="J60" i="9" s="1"/>
  <c r="H60" i="9" l="1"/>
  <c r="I60" i="9"/>
  <c r="I5" i="9" s="1"/>
  <c r="K60" i="9"/>
  <c r="H5" i="9" l="1"/>
  <c r="L6" i="9" s="1"/>
  <c r="J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GOOGLE Albert De Vries</author>
    <author>devrieslocal</author>
  </authors>
  <commentList>
    <comment ref="F4" authorId="0" shapeId="0" xr:uid="{1F24FFF7-E54B-4EAF-AD39-DAC71BA8D134}">
      <text>
        <r>
          <rPr>
            <b/>
            <sz val="9"/>
            <color indexed="81"/>
            <rFont val="Tahoma"/>
            <family val="2"/>
          </rPr>
          <t>GOOGLE Albert De Vries:</t>
        </r>
        <r>
          <rPr>
            <sz val="9"/>
            <color indexed="81"/>
            <rFont val="Tahoma"/>
            <family val="2"/>
          </rPr>
          <t xml:space="preserve">
same number as Excel row to avoid confusion</t>
        </r>
      </text>
    </comment>
    <comment ref="G20" authorId="1" shapeId="0" xr:uid="{CB72A17C-D8C2-4A38-96A3-042C4BC1C3E7}">
      <text>
        <r>
          <rPr>
            <b/>
            <sz val="9"/>
            <color indexed="81"/>
            <rFont val="Tahoma"/>
            <family val="2"/>
          </rPr>
          <t>devrieslocal:</t>
        </r>
        <r>
          <rPr>
            <sz val="9"/>
            <color indexed="81"/>
            <rFont val="Tahoma"/>
            <family val="2"/>
          </rPr>
          <t xml:space="preserve">
correction of genetic value to economic value </t>
        </r>
      </text>
    </comment>
  </commentList>
</comments>
</file>

<file path=xl/sharedStrings.xml><?xml version="1.0" encoding="utf-8"?>
<sst xmlns="http://schemas.openxmlformats.org/spreadsheetml/2006/main" count="120" uniqueCount="104">
  <si>
    <t>geneflow and discounting</t>
  </si>
  <si>
    <t>response to genetics</t>
  </si>
  <si>
    <t>annual cow cull rate</t>
  </si>
  <si>
    <t>cost per day open</t>
  </si>
  <si>
    <t>dam 21-day service rate</t>
  </si>
  <si>
    <t>conclusion</t>
  </si>
  <si>
    <t>approximate range $0 to $8. $2 is a good estimate.</t>
  </si>
  <si>
    <t>&gt; 100% in well managed herds</t>
  </si>
  <si>
    <t>determines when the next insemination is expected</t>
  </si>
  <si>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numbers you may change, black numbers are formulas you should not change</t>
    </r>
  </si>
  <si>
    <t>future generations and time value of money. 1.3 is a good estimate</t>
  </si>
  <si>
    <t>Albert De Vries</t>
  </si>
  <si>
    <t>Department of Animal Sciences</t>
  </si>
  <si>
    <t>University of Florida</t>
  </si>
  <si>
    <t>devries@ufl.edu</t>
  </si>
  <si>
    <t>Economic value of genetic merit of dairy semen</t>
  </si>
  <si>
    <t>semen cost/unit future breedings</t>
  </si>
  <si>
    <t>semen cost/unit current breeding</t>
  </si>
  <si>
    <t>probability female calf</t>
  </si>
  <si>
    <t>days</t>
  </si>
  <si>
    <t>total cost extra days open</t>
  </si>
  <si>
    <t>#female calves current breeding</t>
  </si>
  <si>
    <t>#male calves current breeding</t>
  </si>
  <si>
    <t>#female calves future breedings</t>
  </si>
  <si>
    <t>#male calves future breedings</t>
  </si>
  <si>
    <t>value male calves future breedings</t>
  </si>
  <si>
    <t>value female calves future breedings</t>
  </si>
  <si>
    <t>probability still birth</t>
  </si>
  <si>
    <t>#days open after current breeding</t>
  </si>
  <si>
    <t>cost days open</t>
  </si>
  <si>
    <t>cost semen current breeding</t>
  </si>
  <si>
    <t>cost semen future breedings</t>
  </si>
  <si>
    <t>description</t>
  </si>
  <si>
    <t>probability abortion</t>
  </si>
  <si>
    <t>value female calves current breeding</t>
  </si>
  <si>
    <t>value male calves current breeding</t>
  </si>
  <si>
    <t>sire or scenario</t>
  </si>
  <si>
    <t>A</t>
  </si>
  <si>
    <t>B</t>
  </si>
  <si>
    <t>cost/pregnancy, future breedings</t>
  </si>
  <si>
    <t>#pregnancies current breeding</t>
  </si>
  <si>
    <t>#pregnancies future breedings</t>
  </si>
  <si>
    <t>compare 2 breeding scenarios. Imagine 2 idential cows that we are breeding with either scenario A or B</t>
  </si>
  <si>
    <t>PTA NM$ sire current breeding</t>
  </si>
  <si>
    <t>PTA NM$ dam current breeding</t>
  </si>
  <si>
    <t>PTA NM$ female calf current breeding</t>
  </si>
  <si>
    <t>PTA NM$ sire future breedings</t>
  </si>
  <si>
    <t>PTA NM$ dam future breedings</t>
  </si>
  <si>
    <t>PTA NM$ female calf future breedings</t>
  </si>
  <si>
    <t>determines how long to continue breeding to get x% pregnant. Should be the same value in both columns</t>
  </si>
  <si>
    <t>#days to next breeding</t>
  </si>
  <si>
    <t>#future breedings</t>
  </si>
  <si>
    <t>conception rate</t>
  </si>
  <si>
    <t>probability of pregnancy (after abortion)</t>
  </si>
  <si>
    <t>#not pregnant after current breeding</t>
  </si>
  <si>
    <t>#not pregnant after future breedings</t>
  </si>
  <si>
    <t>#pregnant end of lactation</t>
  </si>
  <si>
    <t>value male calf</t>
  </si>
  <si>
    <t>breeding value female calf</t>
  </si>
  <si>
    <t>corrected value female calf</t>
  </si>
  <si>
    <t>probability pregnant cow is culled</t>
  </si>
  <si>
    <t>probability live female calf becomes a cow</t>
  </si>
  <si>
    <t>economic value male calf</t>
  </si>
  <si>
    <t>NM$ breeding value = 2 * PTA = lifetime genetic value</t>
  </si>
  <si>
    <t>correction applied to convert lifetime genetic value into economic value female calf</t>
  </si>
  <si>
    <t>after abortion, but before calving</t>
  </si>
  <si>
    <t>non completion rate heifer calf -&gt; heifer calving</t>
  </si>
  <si>
    <t>default is 38%, affects lifetime value</t>
  </si>
  <si>
    <t>semen cost, including labor</t>
  </si>
  <si>
    <t>NM$ is a lifetime value, assumed to be 2.6 lactations, or about 38% annual cow cull rate</t>
  </si>
  <si>
    <t>parent average</t>
  </si>
  <si>
    <t>dead calf -&gt; no value</t>
  </si>
  <si>
    <t>enter the name of the scenario</t>
  </si>
  <si>
    <t>A-B</t>
  </si>
  <si>
    <t>check</t>
  </si>
  <si>
    <t>#calves</t>
  </si>
  <si>
    <t>cost/pregnancy, current breeding</t>
  </si>
  <si>
    <t>summary</t>
  </si>
  <si>
    <t>not pregnant, continue with future breedings</t>
  </si>
  <si>
    <t>number of future breedings to get to #pregnant at end of lactation</t>
  </si>
  <si>
    <t>after conception, a fraction aborts</t>
  </si>
  <si>
    <t>male = any non-dairy heifer calf, for example dairy bull, crossbred, beef embryo etc.</t>
  </si>
  <si>
    <t>female = dairy heifer calf</t>
  </si>
  <si>
    <t>sire A</t>
  </si>
  <si>
    <t>sire B</t>
  </si>
  <si>
    <t>spreadsheet version 1/25/2025</t>
  </si>
  <si>
    <t>difference</t>
  </si>
  <si>
    <t>generation</t>
  </si>
  <si>
    <t>years between generations</t>
  </si>
  <si>
    <t>years into the future</t>
  </si>
  <si>
    <t>annual interest rate</t>
  </si>
  <si>
    <t>difference in PTA of generation 0</t>
  </si>
  <si>
    <t>sum</t>
  </si>
  <si>
    <t>geneflow</t>
  </si>
  <si>
    <t>discounting</t>
  </si>
  <si>
    <t>advantage one sire over the other</t>
  </si>
  <si>
    <t>multiplier, accounting for geneflow and discounting</t>
  </si>
  <si>
    <t>transmission genetic superiority to future generations</t>
  </si>
  <si>
    <t>geneflow: the idea that a better daughter will also lead to a better grand daughter, better great-grand daugther etc. But only by 50% per generation because an animal transmits 50% of its genetics to its offspring</t>
  </si>
  <si>
    <t>discounting: the idea that a dollar made today is worth more than a dollar made tomorrow: better genetics expressed in the future is not as worth as much as better genetics expressed today</t>
  </si>
  <si>
    <t>daughter</t>
  </si>
  <si>
    <t>grand-daughter</t>
  </si>
  <si>
    <t>great grand daughter</t>
  </si>
  <si>
    <t>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</si>
</sst>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(&quot;$&quot;* #,##0_);_(&quot;$&quot;* \(#,##0\);_(&quot;$&quot;* &quot;-&quot;??_);_(@_)"/>
    <numFmt numFmtId="168" formatCode="0E+00"/>
    <numFmt numFmtId="169" formatCode="_(* #,##0_);_(* \(#,##0\);_(* &quot;-&quot;??_);_(@_)"/>
    <numFmt numFmtId="170" formatCode="_(&quot;$&quot;* #,##0.000_);_(&quot;$&quot;* \(#,##0.000\);_(&quot;$&quot;* &quot;-&quot;???_);_(@_)"/>
    <numFmt numFmtId="171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3"/>
    <xf numFmtId="0" fontId="0" fillId="0" borderId="0" xfId="0" applyAlignment="1">
      <alignment horizontal="right"/>
    </xf>
    <xf numFmtId="9" fontId="2" fillId="0" borderId="0" xfId="0" applyNumberFormat="1" applyFont="1"/>
    <xf numFmtId="9" fontId="2" fillId="0" borderId="0" xfId="2" applyFont="1" applyFill="1"/>
    <xf numFmtId="9" fontId="0" fillId="0" borderId="0" xfId="0" applyNumberFormat="1"/>
    <xf numFmtId="0" fontId="0" fillId="0" borderId="1" xfId="0" applyBorder="1"/>
    <xf numFmtId="0" fontId="3" fillId="0" borderId="0" xfId="0" applyFont="1"/>
    <xf numFmtId="2" fontId="0" fillId="0" borderId="0" xfId="0" applyNumberFormat="1"/>
    <xf numFmtId="9" fontId="0" fillId="0" borderId="0" xfId="2" applyFont="1" applyFill="1"/>
    <xf numFmtId="0" fontId="6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9" fontId="0" fillId="2" borderId="0" xfId="0" applyNumberFormat="1" applyFill="1"/>
    <xf numFmtId="9" fontId="0" fillId="4" borderId="0" xfId="0" applyNumberFormat="1" applyFill="1"/>
    <xf numFmtId="9" fontId="5" fillId="4" borderId="0" xfId="0" applyNumberFormat="1" applyFont="1" applyFill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2" applyFont="1" applyFill="1" applyBorder="1"/>
    <xf numFmtId="9" fontId="2" fillId="0" borderId="2" xfId="0" applyNumberFormat="1" applyFont="1" applyBorder="1"/>
    <xf numFmtId="0" fontId="0" fillId="0" borderId="5" xfId="0" applyBorder="1"/>
    <xf numFmtId="4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5" fontId="0" fillId="4" borderId="0" xfId="0" applyNumberFormat="1" applyFill="1"/>
    <xf numFmtId="44" fontId="2" fillId="0" borderId="0" xfId="0" applyNumberFormat="1" applyFont="1"/>
    <xf numFmtId="166" fontId="5" fillId="2" borderId="0" xfId="0" applyNumberFormat="1" applyFont="1" applyFill="1"/>
    <xf numFmtId="166" fontId="0" fillId="4" borderId="0" xfId="0" applyNumberFormat="1" applyFill="1"/>
    <xf numFmtId="166" fontId="0" fillId="2" borderId="0" xfId="0" applyNumberFormat="1" applyFill="1"/>
    <xf numFmtId="166" fontId="0" fillId="0" borderId="0" xfId="2" applyNumberFormat="1" applyFont="1" applyFill="1" applyBorder="1"/>
    <xf numFmtId="164" fontId="2" fillId="0" borderId="0" xfId="0" applyNumberFormat="1" applyFont="1"/>
    <xf numFmtId="2" fontId="5" fillId="2" borderId="0" xfId="0" applyNumberFormat="1" applyFont="1" applyFill="1"/>
    <xf numFmtId="2" fontId="5" fillId="4" borderId="0" xfId="0" applyNumberFormat="1" applyFont="1" applyFill="1"/>
    <xf numFmtId="166" fontId="5" fillId="4" borderId="0" xfId="0" applyNumberFormat="1" applyFont="1" applyFill="1"/>
    <xf numFmtId="167" fontId="0" fillId="0" borderId="0" xfId="0" applyNumberFormat="1"/>
    <xf numFmtId="166" fontId="0" fillId="0" borderId="0" xfId="0" applyNumberFormat="1"/>
    <xf numFmtId="44" fontId="3" fillId="0" borderId="0" xfId="0" applyNumberFormat="1" applyFont="1"/>
    <xf numFmtId="0" fontId="0" fillId="0" borderId="1" xfId="0" applyBorder="1" applyAlignment="1">
      <alignment horizontal="center"/>
    </xf>
    <xf numFmtId="0" fontId="0" fillId="2" borderId="0" xfId="0" applyFill="1"/>
    <xf numFmtId="0" fontId="0" fillId="4" borderId="0" xfId="0" applyFill="1"/>
    <xf numFmtId="167" fontId="2" fillId="0" borderId="0" xfId="0" applyNumberFormat="1" applyFont="1"/>
    <xf numFmtId="167" fontId="5" fillId="2" borderId="0" xfId="0" applyNumberFormat="1" applyFont="1" applyFill="1"/>
    <xf numFmtId="167" fontId="5" fillId="4" borderId="0" xfId="0" applyNumberFormat="1" applyFont="1" applyFill="1"/>
    <xf numFmtId="167" fontId="0" fillId="2" borderId="0" xfId="1" applyNumberFormat="1" applyFont="1" applyFill="1"/>
    <xf numFmtId="167" fontId="0" fillId="4" borderId="0" xfId="0" applyNumberFormat="1" applyFill="1"/>
    <xf numFmtId="167" fontId="0" fillId="0" borderId="0" xfId="1" applyNumberFormat="1" applyFont="1" applyFill="1"/>
    <xf numFmtId="167" fontId="0" fillId="4" borderId="0" xfId="1" applyNumberFormat="1" applyFont="1" applyFill="1"/>
    <xf numFmtId="167" fontId="0" fillId="2" borderId="0" xfId="0" applyNumberFormat="1" applyFill="1"/>
    <xf numFmtId="167" fontId="9" fillId="0" borderId="0" xfId="0" applyNumberFormat="1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8" fontId="0" fillId="0" borderId="0" xfId="0" applyNumberFormat="1"/>
    <xf numFmtId="169" fontId="0" fillId="0" borderId="0" xfId="4" applyNumberFormat="1" applyFont="1"/>
    <xf numFmtId="167" fontId="0" fillId="3" borderId="0" xfId="0" applyNumberFormat="1" applyFill="1"/>
    <xf numFmtId="9" fontId="2" fillId="0" borderId="5" xfId="0" applyNumberFormat="1" applyFont="1" applyBorder="1"/>
    <xf numFmtId="9" fontId="5" fillId="0" borderId="0" xfId="2" applyFont="1"/>
    <xf numFmtId="167" fontId="0" fillId="2" borderId="1" xfId="1" applyNumberFormat="1" applyFont="1" applyFill="1" applyBorder="1"/>
    <xf numFmtId="167" fontId="0" fillId="4" borderId="1" xfId="0" applyNumberFormat="1" applyFill="1" applyBorder="1"/>
    <xf numFmtId="9" fontId="5" fillId="2" borderId="0" xfId="0" applyNumberFormat="1" applyFont="1" applyFill="1"/>
    <xf numFmtId="9" fontId="0" fillId="2" borderId="0" xfId="2" applyFont="1" applyFill="1"/>
    <xf numFmtId="170" fontId="0" fillId="0" borderId="0" xfId="0" applyNumberFormat="1"/>
    <xf numFmtId="167" fontId="0" fillId="4" borderId="1" xfId="1" applyNumberFormat="1" applyFont="1" applyFill="1" applyBorder="1"/>
    <xf numFmtId="167" fontId="9" fillId="0" borderId="1" xfId="0" applyNumberFormat="1" applyFont="1" applyBorder="1"/>
    <xf numFmtId="0" fontId="0" fillId="0" borderId="2" xfId="0" applyBorder="1"/>
    <xf numFmtId="0" fontId="11" fillId="0" borderId="0" xfId="0" applyFont="1"/>
    <xf numFmtId="167" fontId="5" fillId="2" borderId="8" xfId="0" applyNumberFormat="1" applyFont="1" applyFill="1" applyBorder="1"/>
    <xf numFmtId="167" fontId="5" fillId="4" borderId="9" xfId="0" applyNumberFormat="1" applyFont="1" applyFill="1" applyBorder="1"/>
    <xf numFmtId="167" fontId="5" fillId="0" borderId="0" xfId="0" applyNumberFormat="1" applyFont="1"/>
    <xf numFmtId="0" fontId="0" fillId="0" borderId="0" xfId="0" quotePrefix="1" applyAlignment="1">
      <alignment horizontal="center"/>
    </xf>
    <xf numFmtId="167" fontId="0" fillId="0" borderId="1" xfId="0" applyNumberFormat="1" applyBorder="1"/>
    <xf numFmtId="8" fontId="0" fillId="0" borderId="0" xfId="0" applyNumberFormat="1"/>
    <xf numFmtId="0" fontId="0" fillId="0" borderId="0" xfId="0" applyAlignment="1">
      <alignment horizontal="center" wrapText="1"/>
    </xf>
    <xf numFmtId="8" fontId="0" fillId="0" borderId="0" xfId="0" applyNumberFormat="1" applyAlignment="1">
      <alignment horizontal="center" wrapText="1"/>
    </xf>
    <xf numFmtId="0" fontId="5" fillId="0" borderId="0" xfId="0" applyFont="1"/>
    <xf numFmtId="171" fontId="0" fillId="0" borderId="10" xfId="0" applyNumberFormat="1" applyBorder="1"/>
    <xf numFmtId="0" fontId="5" fillId="5" borderId="0" xfId="0" applyFont="1" applyFill="1" applyAlignment="1">
      <alignment horizontal="center"/>
    </xf>
    <xf numFmtId="6" fontId="5" fillId="5" borderId="0" xfId="0" applyNumberFormat="1" applyFont="1" applyFill="1" applyAlignment="1">
      <alignment horizontal="center"/>
    </xf>
    <xf numFmtId="9" fontId="0" fillId="5" borderId="0" xfId="0" applyNumberFormat="1" applyFill="1" applyAlignment="1">
      <alignment horizontal="center"/>
    </xf>
    <xf numFmtId="167" fontId="5" fillId="5" borderId="0" xfId="0" applyNumberFormat="1" applyFont="1" applyFill="1"/>
    <xf numFmtId="9" fontId="5" fillId="5" borderId="3" xfId="0" applyNumberFormat="1" applyFont="1" applyFill="1" applyBorder="1"/>
    <xf numFmtId="9" fontId="5" fillId="5" borderId="4" xfId="0" applyNumberFormat="1" applyFont="1" applyFill="1" applyBorder="1"/>
    <xf numFmtId="9" fontId="5" fillId="5" borderId="6" xfId="0" applyNumberFormat="1" applyFont="1" applyFill="1" applyBorder="1"/>
    <xf numFmtId="9" fontId="5" fillId="5" borderId="7" xfId="0" applyNumberFormat="1" applyFont="1" applyFill="1" applyBorder="1"/>
    <xf numFmtId="9" fontId="5" fillId="5" borderId="0" xfId="0" applyNumberFormat="1" applyFont="1" applyFill="1"/>
    <xf numFmtId="9" fontId="5" fillId="5" borderId="0" xfId="2" applyFont="1" applyFill="1" applyBorder="1"/>
    <xf numFmtId="44" fontId="5" fillId="5" borderId="0" xfId="0" applyNumberFormat="1" applyFont="1" applyFill="1"/>
    <xf numFmtId="9" fontId="5" fillId="5" borderId="0" xfId="2" applyFont="1" applyFill="1"/>
    <xf numFmtId="0" fontId="5" fillId="5" borderId="0" xfId="0" applyFont="1" applyFill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'geneflow&amp;discounting'!$F$8:$F$29</c:f>
              <c:numCache>
                <c:formatCode>General</c:formatCode>
                <c:ptCount val="2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17</c:v>
                </c:pt>
                <c:pt idx="8">
                  <c:v>19</c:v>
                </c:pt>
                <c:pt idx="9">
                  <c:v>21</c:v>
                </c:pt>
                <c:pt idx="10">
                  <c:v>23</c:v>
                </c:pt>
                <c:pt idx="11">
                  <c:v>25</c:v>
                </c:pt>
                <c:pt idx="12">
                  <c:v>27</c:v>
                </c:pt>
                <c:pt idx="13">
                  <c:v>29</c:v>
                </c:pt>
                <c:pt idx="14">
                  <c:v>31</c:v>
                </c:pt>
                <c:pt idx="15">
                  <c:v>33</c:v>
                </c:pt>
                <c:pt idx="16">
                  <c:v>35</c:v>
                </c:pt>
                <c:pt idx="17">
                  <c:v>37</c:v>
                </c:pt>
                <c:pt idx="18">
                  <c:v>39</c:v>
                </c:pt>
                <c:pt idx="19">
                  <c:v>41</c:v>
                </c:pt>
                <c:pt idx="20">
                  <c:v>43</c:v>
                </c:pt>
                <c:pt idx="21">
                  <c:v>45</c:v>
                </c:pt>
              </c:numCache>
            </c:numRef>
          </c:xVal>
          <c:yVal>
            <c:numRef>
              <c:f>'geneflow&amp;discounting'!$K$8:$K$29</c:f>
              <c:numCache>
                <c:formatCode>"$"#,##0.00_);[Red]\("$"#,##0.00\)</c:formatCode>
                <c:ptCount val="22"/>
                <c:pt idx="0">
                  <c:v>72.900000000000006</c:v>
                </c:pt>
                <c:pt idx="1">
                  <c:v>102.42450000000002</c:v>
                </c:pt>
                <c:pt idx="2">
                  <c:v>114.38192250000003</c:v>
                </c:pt>
                <c:pt idx="3">
                  <c:v>119.22467861250003</c:v>
                </c:pt>
                <c:pt idx="4">
                  <c:v>121.18599483806253</c:v>
                </c:pt>
                <c:pt idx="5">
                  <c:v>121.98032790941534</c:v>
                </c:pt>
                <c:pt idx="6">
                  <c:v>122.30203280331322</c:v>
                </c:pt>
                <c:pt idx="7">
                  <c:v>122.43232328534187</c:v>
                </c:pt>
                <c:pt idx="8">
                  <c:v>122.48509093056347</c:v>
                </c:pt>
                <c:pt idx="9">
                  <c:v>122.50646182687822</c:v>
                </c:pt>
                <c:pt idx="10">
                  <c:v>122.51511703988569</c:v>
                </c:pt>
                <c:pt idx="11">
                  <c:v>122.51862240115372</c:v>
                </c:pt>
                <c:pt idx="12">
                  <c:v>122.52004207246728</c:v>
                </c:pt>
                <c:pt idx="13">
                  <c:v>122.52061703934926</c:v>
                </c:pt>
                <c:pt idx="14">
                  <c:v>122.52084990093647</c:v>
                </c:pt>
                <c:pt idx="15">
                  <c:v>122.52094420987929</c:v>
                </c:pt>
                <c:pt idx="16">
                  <c:v>122.52098240500113</c:v>
                </c:pt>
                <c:pt idx="17">
                  <c:v>122.52099787402548</c:v>
                </c:pt>
                <c:pt idx="18">
                  <c:v>122.52100413898035</c:v>
                </c:pt>
                <c:pt idx="19">
                  <c:v>122.52100667628706</c:v>
                </c:pt>
                <c:pt idx="20">
                  <c:v>122.52100770389627</c:v>
                </c:pt>
                <c:pt idx="21">
                  <c:v>122.52100812007801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D0-46B0-893B-12DF3E3DA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798016"/>
        <c:axId val="618796096"/>
      </c:scatterChart>
      <c:valAx>
        <c:axId val="61879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796096"/>
        <c:crosses val="autoZero"/>
        <c:crossBetween val="midCat"/>
      </c:valAx>
      <c:valAx>
        <c:axId val="61879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8798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9</xdr:row>
      <xdr:rowOff>80962</xdr:rowOff>
    </xdr:from>
    <xdr:to>
      <xdr:col>19</xdr:col>
      <xdr:colOff>571500</xdr:colOff>
      <xdr:row>23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F7B65A-B3E0-AEEE-EF1F-EF5E9FC27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vries@ufl.ed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8000"/>
  </sheetPr>
  <dimension ref="B1:B9"/>
  <sheetViews>
    <sheetView workbookViewId="0">
      <selection activeCell="F6" sqref="F6"/>
    </sheetView>
  </sheetViews>
  <sheetFormatPr defaultRowHeight="15" x14ac:dyDescent="0.25"/>
  <sheetData>
    <row r="1" spans="2:2" x14ac:dyDescent="0.25">
      <c r="B1" s="7" t="s">
        <v>15</v>
      </c>
    </row>
    <row r="3" spans="2:2" x14ac:dyDescent="0.25">
      <c r="B3" t="s">
        <v>11</v>
      </c>
    </row>
    <row r="4" spans="2:2" x14ac:dyDescent="0.25">
      <c r="B4" t="s">
        <v>12</v>
      </c>
    </row>
    <row r="5" spans="2:2" x14ac:dyDescent="0.25">
      <c r="B5" t="s">
        <v>13</v>
      </c>
    </row>
    <row r="6" spans="2:2" x14ac:dyDescent="0.25">
      <c r="B6" s="1" t="s">
        <v>14</v>
      </c>
    </row>
    <row r="7" spans="2:2" x14ac:dyDescent="0.25">
      <c r="B7" s="1"/>
    </row>
    <row r="9" spans="2:2" x14ac:dyDescent="0.25">
      <c r="B9" t="s">
        <v>85</v>
      </c>
    </row>
  </sheetData>
  <hyperlinks>
    <hyperlink ref="B6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919B-921F-419A-B0D7-0DBFC5B9C4A9}">
  <sheetPr codeName="Sheet2"/>
  <dimension ref="C1:Q71"/>
  <sheetViews>
    <sheetView topLeftCell="A10" zoomScale="110" zoomScaleNormal="110" workbookViewId="0">
      <selection activeCell="G49" sqref="G49:I49"/>
    </sheetView>
  </sheetViews>
  <sheetFormatPr defaultRowHeight="15" x14ac:dyDescent="0.25"/>
  <cols>
    <col min="6" max="6" width="5.7109375" customWidth="1"/>
    <col min="7" max="7" width="8.5703125" customWidth="1"/>
    <col min="8" max="8" width="11.7109375" customWidth="1"/>
    <col min="9" max="9" width="11.42578125" customWidth="1"/>
    <col min="10" max="10" width="10.5703125" customWidth="1"/>
    <col min="13" max="13" width="11.5703125" bestFit="1" customWidth="1"/>
    <col min="16" max="16" width="11.5703125" bestFit="1" customWidth="1"/>
  </cols>
  <sheetData>
    <row r="1" spans="3:16" x14ac:dyDescent="0.25">
      <c r="C1" t="s">
        <v>42</v>
      </c>
      <c r="M1" s="34" t="s">
        <v>82</v>
      </c>
    </row>
    <row r="2" spans="3:16" x14ac:dyDescent="0.25">
      <c r="C2" t="s">
        <v>9</v>
      </c>
      <c r="M2" s="34" t="s">
        <v>81</v>
      </c>
      <c r="P2" s="34"/>
    </row>
    <row r="3" spans="3:16" x14ac:dyDescent="0.25">
      <c r="P3" s="34"/>
    </row>
    <row r="4" spans="3:16" x14ac:dyDescent="0.25">
      <c r="E4" s="2" t="s">
        <v>32</v>
      </c>
      <c r="F4" s="49">
        <v>4</v>
      </c>
      <c r="H4" s="75" t="s">
        <v>83</v>
      </c>
      <c r="I4" s="75" t="s">
        <v>84</v>
      </c>
      <c r="L4" t="s">
        <v>72</v>
      </c>
    </row>
    <row r="5" spans="3:16" x14ac:dyDescent="0.25">
      <c r="E5" s="2" t="s">
        <v>5</v>
      </c>
      <c r="F5" s="49">
        <v>5</v>
      </c>
      <c r="H5" s="53">
        <f>H60</f>
        <v>0</v>
      </c>
      <c r="I5" s="53">
        <f>I60</f>
        <v>0.16218526315779513</v>
      </c>
      <c r="J5" s="36" t="str">
        <f>K60</f>
        <v>scenario B is best value</v>
      </c>
    </row>
    <row r="6" spans="3:16" x14ac:dyDescent="0.25">
      <c r="D6" s="6"/>
      <c r="E6" s="11" t="s">
        <v>36</v>
      </c>
      <c r="F6" s="50">
        <v>6</v>
      </c>
      <c r="G6" s="11"/>
      <c r="H6" s="37" t="s">
        <v>37</v>
      </c>
      <c r="I6" s="37" t="s">
        <v>38</v>
      </c>
      <c r="J6" s="68" t="s">
        <v>73</v>
      </c>
      <c r="K6" s="12"/>
      <c r="L6" s="34">
        <f>H5-I5</f>
        <v>-0.16218526315779513</v>
      </c>
      <c r="M6" t="s">
        <v>86</v>
      </c>
    </row>
    <row r="7" spans="3:16" x14ac:dyDescent="0.25">
      <c r="E7" s="10" t="s">
        <v>17</v>
      </c>
      <c r="F7" s="49">
        <v>7</v>
      </c>
      <c r="H7" s="78">
        <v>20</v>
      </c>
      <c r="I7" s="78">
        <v>0</v>
      </c>
      <c r="J7" s="34">
        <f>H7-I7</f>
        <v>20</v>
      </c>
      <c r="L7" t="s">
        <v>68</v>
      </c>
    </row>
    <row r="8" spans="3:16" x14ac:dyDescent="0.25">
      <c r="E8" s="10" t="s">
        <v>43</v>
      </c>
      <c r="F8" s="49">
        <v>8</v>
      </c>
      <c r="H8" s="78">
        <v>1100</v>
      </c>
      <c r="I8" s="78">
        <v>1000</v>
      </c>
      <c r="J8" s="34">
        <f t="shared" ref="J8:J39" si="0">H8-I8</f>
        <v>100</v>
      </c>
      <c r="L8" t="s">
        <v>69</v>
      </c>
    </row>
    <row r="9" spans="3:16" x14ac:dyDescent="0.25">
      <c r="E9" s="10" t="s">
        <v>44</v>
      </c>
      <c r="F9" s="49">
        <v>9</v>
      </c>
      <c r="H9" s="78">
        <v>300</v>
      </c>
      <c r="I9" s="78">
        <v>300</v>
      </c>
      <c r="J9" s="34">
        <f t="shared" si="0"/>
        <v>0</v>
      </c>
    </row>
    <row r="10" spans="3:16" ht="15.75" thickBot="1" x14ac:dyDescent="0.3">
      <c r="E10" s="10" t="s">
        <v>45</v>
      </c>
      <c r="F10" s="49">
        <v>10</v>
      </c>
      <c r="H10" s="41">
        <f>(H8+H9)/2</f>
        <v>700</v>
      </c>
      <c r="I10" s="42">
        <f>(I8+I9)/2</f>
        <v>650</v>
      </c>
      <c r="J10" s="45">
        <f>H10-I10</f>
        <v>50</v>
      </c>
      <c r="L10" t="s">
        <v>70</v>
      </c>
    </row>
    <row r="11" spans="3:16" x14ac:dyDescent="0.25">
      <c r="E11" s="10" t="s">
        <v>52</v>
      </c>
      <c r="F11" s="49">
        <v>11</v>
      </c>
      <c r="G11" s="63"/>
      <c r="H11" s="79">
        <v>0.5</v>
      </c>
      <c r="I11" s="80">
        <v>0.3</v>
      </c>
      <c r="J11" s="9">
        <f t="shared" si="0"/>
        <v>0.2</v>
      </c>
    </row>
    <row r="12" spans="3:16" ht="15.75" thickBot="1" x14ac:dyDescent="0.3">
      <c r="E12" s="10" t="s">
        <v>33</v>
      </c>
      <c r="F12" s="49">
        <v>12</v>
      </c>
      <c r="G12" s="20"/>
      <c r="H12" s="81">
        <v>0.08</v>
      </c>
      <c r="I12" s="82">
        <v>0.08</v>
      </c>
      <c r="J12" s="9">
        <f t="shared" si="0"/>
        <v>0</v>
      </c>
      <c r="L12" t="s">
        <v>80</v>
      </c>
    </row>
    <row r="13" spans="3:16" x14ac:dyDescent="0.25">
      <c r="E13" s="10" t="s">
        <v>53</v>
      </c>
      <c r="F13" s="49">
        <v>13</v>
      </c>
      <c r="H13" s="59">
        <f>H11*(1-H12)</f>
        <v>0.46</v>
      </c>
      <c r="I13" s="15">
        <f>I11*(1-I12)</f>
        <v>0.27600000000000002</v>
      </c>
      <c r="J13" s="9">
        <f t="shared" si="0"/>
        <v>0.184</v>
      </c>
      <c r="L13" s="34"/>
    </row>
    <row r="14" spans="3:16" x14ac:dyDescent="0.25">
      <c r="E14" s="10" t="s">
        <v>40</v>
      </c>
      <c r="F14" s="49">
        <v>14</v>
      </c>
      <c r="G14" s="5"/>
      <c r="H14" s="28">
        <f>H13</f>
        <v>0.46</v>
      </c>
      <c r="I14" s="27">
        <f>I13</f>
        <v>0.27600000000000002</v>
      </c>
      <c r="J14" s="29">
        <f t="shared" si="0"/>
        <v>0.184</v>
      </c>
    </row>
    <row r="15" spans="3:16" x14ac:dyDescent="0.25">
      <c r="E15" s="10" t="s">
        <v>18</v>
      </c>
      <c r="F15" s="49">
        <v>15</v>
      </c>
      <c r="G15" s="3"/>
      <c r="H15" s="83">
        <v>0.9</v>
      </c>
      <c r="I15" s="83">
        <v>0.9</v>
      </c>
      <c r="J15" s="18">
        <f t="shared" si="0"/>
        <v>0</v>
      </c>
    </row>
    <row r="16" spans="3:16" x14ac:dyDescent="0.25">
      <c r="E16" s="10" t="s">
        <v>21</v>
      </c>
      <c r="F16" s="49">
        <v>16</v>
      </c>
      <c r="G16" s="3"/>
      <c r="H16" s="26">
        <f>H14*H15</f>
        <v>0.41400000000000003</v>
      </c>
      <c r="I16" s="27">
        <f>I14*I15</f>
        <v>0.24840000000000004</v>
      </c>
      <c r="J16" s="29">
        <f t="shared" si="0"/>
        <v>0.1656</v>
      </c>
    </row>
    <row r="17" spans="5:15" x14ac:dyDescent="0.25">
      <c r="E17" s="10" t="s">
        <v>22</v>
      </c>
      <c r="F17" s="49">
        <v>17</v>
      </c>
      <c r="G17" s="3"/>
      <c r="H17" s="26">
        <f>H14*(1-H15)</f>
        <v>4.5999999999999992E-2</v>
      </c>
      <c r="I17" s="27">
        <f>I14*(1-I15)</f>
        <v>2.7599999999999996E-2</v>
      </c>
      <c r="J17" s="29">
        <f t="shared" si="0"/>
        <v>1.8399999999999996E-2</v>
      </c>
    </row>
    <row r="18" spans="5:15" x14ac:dyDescent="0.25">
      <c r="E18" s="10" t="s">
        <v>57</v>
      </c>
      <c r="F18" s="49">
        <v>18</v>
      </c>
      <c r="G18" s="3"/>
      <c r="H18" s="78">
        <v>400</v>
      </c>
      <c r="I18" s="78">
        <v>400</v>
      </c>
      <c r="J18" s="45">
        <f t="shared" si="0"/>
        <v>0</v>
      </c>
      <c r="L18" t="s">
        <v>62</v>
      </c>
    </row>
    <row r="19" spans="5:15" x14ac:dyDescent="0.25">
      <c r="E19" s="10" t="s">
        <v>58</v>
      </c>
      <c r="F19" s="49">
        <v>19</v>
      </c>
      <c r="G19" s="3"/>
      <c r="H19" s="41">
        <f>H10*2</f>
        <v>1400</v>
      </c>
      <c r="I19" s="42">
        <f>I10*2</f>
        <v>1300</v>
      </c>
      <c r="J19" s="45">
        <f t="shared" si="0"/>
        <v>100</v>
      </c>
      <c r="L19" t="s">
        <v>63</v>
      </c>
    </row>
    <row r="20" spans="5:15" x14ac:dyDescent="0.25">
      <c r="E20" s="10" t="s">
        <v>59</v>
      </c>
      <c r="F20" s="49">
        <v>20</v>
      </c>
      <c r="G20" s="78">
        <v>700</v>
      </c>
      <c r="H20" s="65">
        <f>H19-G20</f>
        <v>700</v>
      </c>
      <c r="I20" s="66">
        <f>I19-G20</f>
        <v>600</v>
      </c>
      <c r="J20" s="45">
        <f t="shared" si="0"/>
        <v>100</v>
      </c>
      <c r="L20" t="s">
        <v>64</v>
      </c>
    </row>
    <row r="21" spans="5:15" x14ac:dyDescent="0.25">
      <c r="E21" s="10" t="s">
        <v>54</v>
      </c>
      <c r="F21" s="49">
        <v>21</v>
      </c>
      <c r="G21" s="5"/>
      <c r="H21" s="28">
        <f>1-H14</f>
        <v>0.54</v>
      </c>
      <c r="I21" s="27">
        <f>1-I14</f>
        <v>0.72399999999999998</v>
      </c>
      <c r="J21" s="9">
        <f>H21-I21</f>
        <v>-0.18399999999999994</v>
      </c>
      <c r="L21" t="s">
        <v>78</v>
      </c>
    </row>
    <row r="22" spans="5:15" x14ac:dyDescent="0.25">
      <c r="F22" s="49">
        <v>22</v>
      </c>
      <c r="J22" s="68" t="s">
        <v>73</v>
      </c>
      <c r="N22" s="10"/>
      <c r="O22" s="10"/>
    </row>
    <row r="23" spans="5:15" x14ac:dyDescent="0.25">
      <c r="E23" s="16" t="s">
        <v>16</v>
      </c>
      <c r="F23" s="49">
        <v>23</v>
      </c>
      <c r="G23" s="40"/>
      <c r="H23" s="78">
        <v>25</v>
      </c>
      <c r="I23" s="78">
        <v>25</v>
      </c>
      <c r="J23" s="34">
        <f>H23-I23</f>
        <v>0</v>
      </c>
    </row>
    <row r="24" spans="5:15" x14ac:dyDescent="0.25">
      <c r="E24" s="16" t="s">
        <v>46</v>
      </c>
      <c r="F24" s="49">
        <v>24</v>
      </c>
      <c r="G24" s="40"/>
      <c r="H24" s="78">
        <v>1100</v>
      </c>
      <c r="I24" s="78">
        <v>1100</v>
      </c>
      <c r="J24" s="34">
        <f>H24-I24</f>
        <v>0</v>
      </c>
    </row>
    <row r="25" spans="5:15" x14ac:dyDescent="0.25">
      <c r="E25" s="16" t="s">
        <v>47</v>
      </c>
      <c r="F25" s="49">
        <v>25</v>
      </c>
      <c r="G25" s="34"/>
      <c r="H25" s="78">
        <v>700</v>
      </c>
      <c r="I25" s="78">
        <v>700</v>
      </c>
      <c r="J25" s="34">
        <f t="shared" ref="J25:J26" si="1">H25-I25</f>
        <v>0</v>
      </c>
    </row>
    <row r="26" spans="5:15" x14ac:dyDescent="0.25">
      <c r="E26" s="16" t="s">
        <v>48</v>
      </c>
      <c r="F26" s="49">
        <v>26</v>
      </c>
      <c r="H26" s="41">
        <f>(H24+H25)/2</f>
        <v>900</v>
      </c>
      <c r="I26" s="42">
        <f>(I24+I25)/2</f>
        <v>900</v>
      </c>
      <c r="J26" s="34">
        <f t="shared" si="1"/>
        <v>0</v>
      </c>
    </row>
    <row r="27" spans="5:15" x14ac:dyDescent="0.25">
      <c r="E27" s="16" t="s">
        <v>56</v>
      </c>
      <c r="F27" s="49">
        <v>27</v>
      </c>
      <c r="G27" s="84">
        <v>0.9</v>
      </c>
      <c r="H27" s="26">
        <f>G27</f>
        <v>0.9</v>
      </c>
      <c r="I27" s="33">
        <f>G27</f>
        <v>0.9</v>
      </c>
      <c r="J27" s="35">
        <f>H27-I27</f>
        <v>0</v>
      </c>
      <c r="L27" s="55" t="s">
        <v>49</v>
      </c>
    </row>
    <row r="28" spans="5:15" ht="15.75" thickBot="1" x14ac:dyDescent="0.3">
      <c r="E28" s="16" t="s">
        <v>41</v>
      </c>
      <c r="F28" s="49">
        <v>28</v>
      </c>
      <c r="G28" s="4"/>
      <c r="H28" s="26">
        <f>H27-H14</f>
        <v>0.44</v>
      </c>
      <c r="I28" s="33">
        <f>I27-I14</f>
        <v>0.624</v>
      </c>
      <c r="J28" s="35">
        <f>H28-I28</f>
        <v>-0.184</v>
      </c>
    </row>
    <row r="29" spans="5:15" x14ac:dyDescent="0.25">
      <c r="E29" s="16" t="s">
        <v>52</v>
      </c>
      <c r="F29" s="49">
        <v>29</v>
      </c>
      <c r="G29" s="19"/>
      <c r="H29" s="79">
        <v>0.5</v>
      </c>
      <c r="I29" s="80">
        <v>0.5</v>
      </c>
      <c r="J29" s="9">
        <f t="shared" ref="J29:J31" si="2">H29-I29</f>
        <v>0</v>
      </c>
    </row>
    <row r="30" spans="5:15" ht="15.75" thickBot="1" x14ac:dyDescent="0.3">
      <c r="E30" s="16" t="s">
        <v>33</v>
      </c>
      <c r="F30" s="49">
        <v>30</v>
      </c>
      <c r="G30" s="54"/>
      <c r="H30" s="81">
        <v>0.05</v>
      </c>
      <c r="I30" s="82">
        <v>0.05</v>
      </c>
      <c r="J30" s="9">
        <f t="shared" si="2"/>
        <v>0</v>
      </c>
    </row>
    <row r="31" spans="5:15" x14ac:dyDescent="0.25">
      <c r="E31" s="16" t="s">
        <v>53</v>
      </c>
      <c r="F31" s="49">
        <v>31</v>
      </c>
      <c r="G31" s="3"/>
      <c r="H31" s="58">
        <f>H29*(1-H30)</f>
        <v>0.47499999999999998</v>
      </c>
      <c r="I31" s="15">
        <f>I29*(1-I30)</f>
        <v>0.47499999999999998</v>
      </c>
      <c r="J31" s="9">
        <f t="shared" si="2"/>
        <v>0</v>
      </c>
    </row>
    <row r="32" spans="5:15" x14ac:dyDescent="0.25">
      <c r="E32" s="16" t="s">
        <v>51</v>
      </c>
      <c r="F32" s="49">
        <v>32</v>
      </c>
      <c r="G32" s="8"/>
      <c r="H32" s="31">
        <f>H28/H31</f>
        <v>0.9263157894736842</v>
      </c>
      <c r="I32" s="32">
        <f>I28/I31</f>
        <v>1.3136842105263158</v>
      </c>
      <c r="J32" s="8">
        <f>H32-I32</f>
        <v>-0.38736842105263158</v>
      </c>
      <c r="L32" t="s">
        <v>79</v>
      </c>
      <c r="O32" s="21"/>
    </row>
    <row r="33" spans="5:17" x14ac:dyDescent="0.25">
      <c r="E33" s="16" t="s">
        <v>18</v>
      </c>
      <c r="F33" s="49">
        <v>33</v>
      </c>
      <c r="G33" s="30"/>
      <c r="H33" s="83">
        <v>0.9</v>
      </c>
      <c r="I33" s="83">
        <v>0.9</v>
      </c>
      <c r="J33" s="18">
        <f>H33-I33</f>
        <v>0</v>
      </c>
    </row>
    <row r="34" spans="5:17" x14ac:dyDescent="0.25">
      <c r="E34" s="16" t="s">
        <v>23</v>
      </c>
      <c r="F34" s="49">
        <v>34</v>
      </c>
      <c r="G34" s="3"/>
      <c r="H34" s="26">
        <f>H28*H33</f>
        <v>0.39600000000000002</v>
      </c>
      <c r="I34" s="33">
        <f>I28*I33</f>
        <v>0.56159999999999999</v>
      </c>
      <c r="J34" s="29">
        <f t="shared" si="0"/>
        <v>-0.16559999999999997</v>
      </c>
    </row>
    <row r="35" spans="5:17" x14ac:dyDescent="0.25">
      <c r="E35" s="16" t="s">
        <v>24</v>
      </c>
      <c r="F35" s="49">
        <v>35</v>
      </c>
      <c r="G35" s="3"/>
      <c r="H35" s="26">
        <f>H28*(1-H33)</f>
        <v>4.3999999999999991E-2</v>
      </c>
      <c r="I35" s="27">
        <f>I28*(1-I33)</f>
        <v>6.2399999999999983E-2</v>
      </c>
      <c r="J35" s="29">
        <f t="shared" si="0"/>
        <v>-1.8399999999999993E-2</v>
      </c>
    </row>
    <row r="36" spans="5:17" x14ac:dyDescent="0.25">
      <c r="E36" s="16" t="s">
        <v>57</v>
      </c>
      <c r="F36" s="49">
        <v>36</v>
      </c>
      <c r="G36" s="3"/>
      <c r="H36" s="78">
        <v>400</v>
      </c>
      <c r="I36" s="78">
        <v>400</v>
      </c>
      <c r="J36" s="45">
        <f t="shared" si="0"/>
        <v>0</v>
      </c>
    </row>
    <row r="37" spans="5:17" x14ac:dyDescent="0.25">
      <c r="E37" s="16" t="s">
        <v>58</v>
      </c>
      <c r="F37" s="49">
        <v>37</v>
      </c>
      <c r="G37" s="3"/>
      <c r="H37" s="41">
        <f>2*H26</f>
        <v>1800</v>
      </c>
      <c r="I37" s="42">
        <f>2*I26</f>
        <v>1800</v>
      </c>
      <c r="J37" s="45">
        <f t="shared" si="0"/>
        <v>0</v>
      </c>
    </row>
    <row r="38" spans="5:17" x14ac:dyDescent="0.25">
      <c r="E38" s="16" t="s">
        <v>59</v>
      </c>
      <c r="F38" s="49">
        <v>38</v>
      </c>
      <c r="G38" s="67">
        <f>G20</f>
        <v>700</v>
      </c>
      <c r="H38" s="65">
        <f>H37-G38</f>
        <v>1100</v>
      </c>
      <c r="I38" s="66">
        <f>I37-G38</f>
        <v>1100</v>
      </c>
      <c r="J38" s="45">
        <f t="shared" si="0"/>
        <v>0</v>
      </c>
    </row>
    <row r="39" spans="5:17" x14ac:dyDescent="0.25">
      <c r="E39" s="16" t="s">
        <v>55</v>
      </c>
      <c r="F39" s="49">
        <v>39</v>
      </c>
      <c r="G39" s="3"/>
      <c r="H39" s="26">
        <f>1-H27</f>
        <v>9.9999999999999978E-2</v>
      </c>
      <c r="I39" s="27">
        <f>1-I27</f>
        <v>9.9999999999999978E-2</v>
      </c>
      <c r="J39" s="29">
        <f t="shared" si="0"/>
        <v>0</v>
      </c>
    </row>
    <row r="40" spans="5:17" x14ac:dyDescent="0.25">
      <c r="E40" s="2" t="s">
        <v>4</v>
      </c>
      <c r="F40" s="49">
        <v>40</v>
      </c>
      <c r="G40" s="3"/>
      <c r="H40" s="83">
        <v>0.6</v>
      </c>
      <c r="I40" s="83">
        <v>0.6</v>
      </c>
      <c r="J40" s="9">
        <f>H40-I40</f>
        <v>0</v>
      </c>
      <c r="L40" t="s">
        <v>8</v>
      </c>
    </row>
    <row r="41" spans="5:17" x14ac:dyDescent="0.25">
      <c r="E41" s="2" t="s">
        <v>50</v>
      </c>
      <c r="F41" s="49">
        <v>41</v>
      </c>
      <c r="G41" s="22"/>
      <c r="H41" s="23">
        <f>21/H40</f>
        <v>35</v>
      </c>
      <c r="I41" s="24">
        <f>21/I40</f>
        <v>35</v>
      </c>
      <c r="J41" s="8">
        <f>H41-I41</f>
        <v>0</v>
      </c>
      <c r="L41" t="s">
        <v>19</v>
      </c>
    </row>
    <row r="42" spans="5:17" x14ac:dyDescent="0.25">
      <c r="E42" s="2" t="s">
        <v>28</v>
      </c>
      <c r="F42" s="49">
        <v>42</v>
      </c>
      <c r="G42" s="22"/>
      <c r="H42" s="23">
        <f>H32*H41</f>
        <v>32.421052631578945</v>
      </c>
      <c r="I42" s="24">
        <f>I32*I41</f>
        <v>45.978947368421053</v>
      </c>
      <c r="J42" s="8">
        <f>H42-I42</f>
        <v>-13.557894736842108</v>
      </c>
      <c r="L42" t="s">
        <v>19</v>
      </c>
    </row>
    <row r="43" spans="5:17" x14ac:dyDescent="0.25">
      <c r="E43" s="2" t="s">
        <v>3</v>
      </c>
      <c r="F43" s="49">
        <v>43</v>
      </c>
      <c r="G43" s="25"/>
      <c r="H43" s="85">
        <v>3</v>
      </c>
      <c r="I43" s="85">
        <v>3</v>
      </c>
      <c r="J43" s="21">
        <f t="shared" ref="J43:J44" si="3">H43-I43</f>
        <v>0</v>
      </c>
      <c r="L43" t="s">
        <v>6</v>
      </c>
    </row>
    <row r="44" spans="5:17" x14ac:dyDescent="0.25">
      <c r="E44" s="2" t="s">
        <v>20</v>
      </c>
      <c r="F44" s="49">
        <v>44</v>
      </c>
      <c r="H44" s="47">
        <f>H42*H43</f>
        <v>97.263157894736835</v>
      </c>
      <c r="I44" s="44">
        <f>I42*I43</f>
        <v>137.93684210526317</v>
      </c>
      <c r="J44" s="34">
        <f t="shared" si="3"/>
        <v>-40.673684210526332</v>
      </c>
      <c r="Q44" s="3"/>
    </row>
    <row r="45" spans="5:17" x14ac:dyDescent="0.25">
      <c r="F45" s="49">
        <v>45</v>
      </c>
      <c r="J45" s="68" t="s">
        <v>73</v>
      </c>
      <c r="Q45" s="3"/>
    </row>
    <row r="46" spans="5:17" x14ac:dyDescent="0.25">
      <c r="E46" s="17" t="s">
        <v>60</v>
      </c>
      <c r="F46" s="49">
        <v>46</v>
      </c>
      <c r="G46" s="83">
        <v>0.05</v>
      </c>
      <c r="H46" s="13">
        <f t="shared" ref="H46:H51" si="4">G46</f>
        <v>0.05</v>
      </c>
      <c r="I46" s="14">
        <f t="shared" ref="I46:I51" si="5">G46</f>
        <v>0.05</v>
      </c>
      <c r="J46" s="9">
        <f>H46-I46</f>
        <v>0</v>
      </c>
      <c r="L46" t="s">
        <v>65</v>
      </c>
    </row>
    <row r="47" spans="5:17" x14ac:dyDescent="0.25">
      <c r="E47" s="17" t="s">
        <v>27</v>
      </c>
      <c r="F47" s="49">
        <v>47</v>
      </c>
      <c r="G47" s="83">
        <v>0.03</v>
      </c>
      <c r="H47" s="13">
        <f t="shared" si="4"/>
        <v>0.03</v>
      </c>
      <c r="I47" s="14">
        <f t="shared" si="5"/>
        <v>0.03</v>
      </c>
      <c r="J47" s="9">
        <f t="shared" ref="J47:J51" si="6">H47-I47</f>
        <v>0</v>
      </c>
      <c r="L47" t="s">
        <v>71</v>
      </c>
    </row>
    <row r="48" spans="5:17" x14ac:dyDescent="0.25">
      <c r="E48" s="17" t="s">
        <v>61</v>
      </c>
      <c r="F48" s="49">
        <v>48</v>
      </c>
      <c r="G48" s="86">
        <v>0.8</v>
      </c>
      <c r="H48" s="13">
        <f t="shared" si="4"/>
        <v>0.8</v>
      </c>
      <c r="I48" s="14">
        <f t="shared" si="5"/>
        <v>0.8</v>
      </c>
      <c r="J48" s="9">
        <f t="shared" si="6"/>
        <v>0</v>
      </c>
      <c r="L48" t="s">
        <v>66</v>
      </c>
    </row>
    <row r="49" spans="4:16" x14ac:dyDescent="0.25">
      <c r="E49" s="17" t="s">
        <v>0</v>
      </c>
      <c r="F49" s="49">
        <v>49</v>
      </c>
      <c r="G49" s="87">
        <v>1</v>
      </c>
      <c r="H49" s="38">
        <f t="shared" si="4"/>
        <v>1</v>
      </c>
      <c r="I49" s="39">
        <f t="shared" si="5"/>
        <v>1</v>
      </c>
      <c r="J49" s="8">
        <f t="shared" si="6"/>
        <v>0</v>
      </c>
      <c r="L49" t="s">
        <v>10</v>
      </c>
    </row>
    <row r="50" spans="4:16" x14ac:dyDescent="0.25">
      <c r="E50" s="17" t="s">
        <v>1</v>
      </c>
      <c r="F50" s="49">
        <v>50</v>
      </c>
      <c r="G50" s="83">
        <v>1</v>
      </c>
      <c r="H50" s="13">
        <f t="shared" si="4"/>
        <v>1</v>
      </c>
      <c r="I50" s="14">
        <f t="shared" si="5"/>
        <v>1</v>
      </c>
      <c r="J50" s="9">
        <f t="shared" si="6"/>
        <v>0</v>
      </c>
      <c r="L50" t="s">
        <v>7</v>
      </c>
    </row>
    <row r="51" spans="4:16" x14ac:dyDescent="0.25">
      <c r="E51" s="17" t="s">
        <v>2</v>
      </c>
      <c r="F51" s="49">
        <v>51</v>
      </c>
      <c r="G51" s="83">
        <v>0.38</v>
      </c>
      <c r="H51" s="13">
        <f t="shared" si="4"/>
        <v>0.38</v>
      </c>
      <c r="I51" s="14">
        <f t="shared" si="5"/>
        <v>0.38</v>
      </c>
      <c r="J51" s="9">
        <f t="shared" si="6"/>
        <v>0</v>
      </c>
      <c r="L51" t="s">
        <v>67</v>
      </c>
    </row>
    <row r="52" spans="4:16" x14ac:dyDescent="0.25">
      <c r="F52" s="49">
        <v>52</v>
      </c>
      <c r="J52" s="68" t="s">
        <v>73</v>
      </c>
    </row>
    <row r="53" spans="4:16" x14ac:dyDescent="0.25">
      <c r="E53" s="2" t="s">
        <v>34</v>
      </c>
      <c r="F53" s="49">
        <v>53</v>
      </c>
      <c r="H53" s="43">
        <f>H20*H16*(1-H$46)*(1-H$47)*H$48*H$49*H$50*38%/H$51</f>
        <v>213.64056000000002</v>
      </c>
      <c r="I53" s="44">
        <f>I20*I16*(1-I$46)*(1-I$47)*I$48*I$49*I$50*38%/I$51</f>
        <v>109.87228800000003</v>
      </c>
      <c r="J53" s="48">
        <f>H53-I53</f>
        <v>103.768272</v>
      </c>
      <c r="M53" s="60"/>
    </row>
    <row r="54" spans="4:16" x14ac:dyDescent="0.25">
      <c r="E54" s="2" t="s">
        <v>26</v>
      </c>
      <c r="F54" s="49">
        <v>54</v>
      </c>
      <c r="G54" s="34"/>
      <c r="H54" s="43">
        <f>H38*H34*(1-H$46)*(1-H$47)*H$48*H$49*H$50*38%/H$51</f>
        <v>321.12432000000001</v>
      </c>
      <c r="I54" s="44">
        <f>I38*I34*(1-I$46)*(1-I$47)*I$48*I$49*I$50*38%/I$51</f>
        <v>455.41267199999993</v>
      </c>
      <c r="J54" s="48">
        <f t="shared" ref="J54:J59" si="7">H54-I54</f>
        <v>-134.28835199999992</v>
      </c>
      <c r="M54" s="21"/>
      <c r="P54" s="51"/>
    </row>
    <row r="55" spans="4:16" x14ac:dyDescent="0.25">
      <c r="E55" s="2" t="s">
        <v>35</v>
      </c>
      <c r="F55" s="49">
        <v>55</v>
      </c>
      <c r="H55" s="43">
        <f>H17*H18*(1-H$46)*(1-H$47)</f>
        <v>16.955599999999997</v>
      </c>
      <c r="I55" s="44">
        <f>I17*I18*(1-I$46)*(1-I$47)</f>
        <v>10.173359999999999</v>
      </c>
      <c r="J55" s="48">
        <f t="shared" si="7"/>
        <v>6.782239999999998</v>
      </c>
      <c r="P55" s="52"/>
    </row>
    <row r="56" spans="4:16" x14ac:dyDescent="0.25">
      <c r="E56" s="2" t="s">
        <v>25</v>
      </c>
      <c r="F56" s="49">
        <v>56</v>
      </c>
      <c r="G56" s="34"/>
      <c r="H56" s="56">
        <f>H35*H36*(1-H$46)*(1-H$47)</f>
        <v>16.218399999999999</v>
      </c>
      <c r="I56" s="57">
        <f>I35*I36*(1-I$46)*(1-I$47)</f>
        <v>23.000639999999994</v>
      </c>
      <c r="J56" s="62">
        <f t="shared" si="7"/>
        <v>-6.7822399999999945</v>
      </c>
      <c r="K56" s="64"/>
      <c r="M56" s="21"/>
    </row>
    <row r="57" spans="4:16" x14ac:dyDescent="0.25">
      <c r="E57" s="2" t="s">
        <v>29</v>
      </c>
      <c r="F57" s="49">
        <v>57</v>
      </c>
      <c r="H57" s="43">
        <f>H44</f>
        <v>97.263157894736835</v>
      </c>
      <c r="I57" s="46">
        <f>I44</f>
        <v>137.93684210526317</v>
      </c>
      <c r="J57" s="48">
        <f t="shared" si="7"/>
        <v>-40.673684210526332</v>
      </c>
    </row>
    <row r="58" spans="4:16" x14ac:dyDescent="0.25">
      <c r="E58" s="2" t="s">
        <v>30</v>
      </c>
      <c r="F58" s="49">
        <v>58</v>
      </c>
      <c r="H58" s="43">
        <f>H7</f>
        <v>20</v>
      </c>
      <c r="I58" s="46">
        <f>I7</f>
        <v>0</v>
      </c>
      <c r="J58" s="48">
        <f t="shared" si="7"/>
        <v>20</v>
      </c>
    </row>
    <row r="59" spans="4:16" x14ac:dyDescent="0.25">
      <c r="D59" s="6"/>
      <c r="E59" s="11" t="s">
        <v>31</v>
      </c>
      <c r="F59" s="50">
        <v>59</v>
      </c>
      <c r="G59" s="69"/>
      <c r="H59" s="56">
        <f>H32*H23</f>
        <v>23.157894736842106</v>
      </c>
      <c r="I59" s="61">
        <f>I32*I23</f>
        <v>32.842105263157897</v>
      </c>
      <c r="J59" s="62">
        <f t="shared" si="7"/>
        <v>-9.6842105263157912</v>
      </c>
    </row>
    <row r="60" spans="4:16" x14ac:dyDescent="0.25">
      <c r="E60" s="2" t="s">
        <v>5</v>
      </c>
      <c r="F60" s="49">
        <v>60</v>
      </c>
      <c r="G60" s="34"/>
      <c r="H60" s="45">
        <f>IF(J60&gt;0,J60,0)</f>
        <v>0</v>
      </c>
      <c r="I60" s="45">
        <f>IF(J60&lt;0,-J60,0)</f>
        <v>0.16218526315779513</v>
      </c>
      <c r="J60" s="48">
        <f>J53+J54+J55+J56  -J57-J58-J59</f>
        <v>-0.16218526315779513</v>
      </c>
      <c r="K60" s="7" t="str">
        <f>IF(J60&lt;0,"scenario B is best value","scenario A is best value")</f>
        <v>scenario B is best value</v>
      </c>
    </row>
    <row r="63" spans="4:16" x14ac:dyDescent="0.25">
      <c r="E63" s="2" t="s">
        <v>21</v>
      </c>
      <c r="H63" s="35">
        <f>H16</f>
        <v>0.41400000000000003</v>
      </c>
      <c r="I63" s="35">
        <f>I16</f>
        <v>0.24840000000000004</v>
      </c>
      <c r="L63" t="s">
        <v>77</v>
      </c>
    </row>
    <row r="64" spans="4:16" x14ac:dyDescent="0.25">
      <c r="E64" s="2" t="s">
        <v>22</v>
      </c>
      <c r="H64" s="35">
        <f>H17</f>
        <v>4.5999999999999992E-2</v>
      </c>
      <c r="I64" s="35">
        <f>I17</f>
        <v>2.7599999999999996E-2</v>
      </c>
    </row>
    <row r="65" spans="5:12" x14ac:dyDescent="0.25">
      <c r="E65" s="2" t="s">
        <v>23</v>
      </c>
      <c r="H65" s="35">
        <f>H34</f>
        <v>0.39600000000000002</v>
      </c>
      <c r="I65" s="35">
        <f>I34</f>
        <v>0.56159999999999999</v>
      </c>
    </row>
    <row r="66" spans="5:12" x14ac:dyDescent="0.25">
      <c r="E66" s="2" t="s">
        <v>24</v>
      </c>
      <c r="H66" s="35">
        <f>H35</f>
        <v>4.3999999999999991E-2</v>
      </c>
      <c r="I66" s="35">
        <f>I35</f>
        <v>6.2399999999999983E-2</v>
      </c>
    </row>
    <row r="67" spans="5:12" x14ac:dyDescent="0.25">
      <c r="E67" s="2" t="s">
        <v>75</v>
      </c>
      <c r="G67" s="35">
        <f>H27</f>
        <v>0.9</v>
      </c>
      <c r="H67" s="35">
        <f>SUM(H63:H66)</f>
        <v>0.90000000000000013</v>
      </c>
      <c r="I67" s="35">
        <f>SUM(I63:I66)</f>
        <v>0.9</v>
      </c>
      <c r="L67" t="s">
        <v>74</v>
      </c>
    </row>
    <row r="68" spans="5:12" x14ac:dyDescent="0.25">
      <c r="E68" s="2" t="s">
        <v>76</v>
      </c>
      <c r="H68" s="34">
        <f>H58/H14</f>
        <v>43.478260869565219</v>
      </c>
      <c r="I68" s="34">
        <f>I58/I14</f>
        <v>0</v>
      </c>
    </row>
    <row r="69" spans="5:12" x14ac:dyDescent="0.25">
      <c r="E69" s="2" t="s">
        <v>39</v>
      </c>
      <c r="H69" s="34">
        <f>H59/H28</f>
        <v>52.631578947368425</v>
      </c>
      <c r="I69" s="34">
        <f>I59/I28</f>
        <v>52.631578947368425</v>
      </c>
    </row>
    <row r="70" spans="5:12" x14ac:dyDescent="0.25">
      <c r="E70" s="2"/>
      <c r="H70" s="34"/>
      <c r="I70" s="34"/>
    </row>
    <row r="71" spans="5:12" x14ac:dyDescent="0.25">
      <c r="E71" s="2"/>
      <c r="H71" s="34"/>
      <c r="I71" s="34"/>
    </row>
  </sheetData>
  <conditionalFormatting sqref="H60:I60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7893-0C1F-47BF-9BAB-5BEE30B6962E}">
  <sheetPr codeName="Sheet3"/>
  <dimension ref="D1:L29"/>
  <sheetViews>
    <sheetView tabSelected="1" workbookViewId="0">
      <selection activeCell="V10" sqref="V10"/>
    </sheetView>
  </sheetViews>
  <sheetFormatPr defaultRowHeight="15" x14ac:dyDescent="0.25"/>
  <cols>
    <col min="6" max="6" width="10.5703125" customWidth="1"/>
    <col min="7" max="7" width="19.85546875" customWidth="1"/>
    <col min="8" max="8" width="10.5703125" customWidth="1"/>
  </cols>
  <sheetData>
    <row r="1" spans="4:12" x14ac:dyDescent="0.25">
      <c r="D1" t="s">
        <v>98</v>
      </c>
    </row>
    <row r="2" spans="4:12" x14ac:dyDescent="0.25">
      <c r="D2" t="s">
        <v>99</v>
      </c>
    </row>
    <row r="4" spans="4:12" x14ac:dyDescent="0.25">
      <c r="E4" s="2" t="s">
        <v>88</v>
      </c>
      <c r="F4" s="75">
        <v>2</v>
      </c>
    </row>
    <row r="5" spans="4:12" x14ac:dyDescent="0.25">
      <c r="E5" s="2" t="s">
        <v>91</v>
      </c>
      <c r="F5" s="76">
        <v>100</v>
      </c>
      <c r="G5" t="s">
        <v>95</v>
      </c>
      <c r="K5" s="74">
        <f>K29/F5</f>
        <v>1.22521008120078</v>
      </c>
      <c r="L5" t="s">
        <v>96</v>
      </c>
    </row>
    <row r="6" spans="4:12" x14ac:dyDescent="0.25">
      <c r="E6" s="2" t="s">
        <v>90</v>
      </c>
      <c r="F6" s="77">
        <v>0.1</v>
      </c>
    </row>
    <row r="7" spans="4:12" ht="45" x14ac:dyDescent="0.25">
      <c r="E7" s="2" t="s">
        <v>87</v>
      </c>
      <c r="F7" s="71" t="s">
        <v>89</v>
      </c>
      <c r="G7" s="71" t="s">
        <v>97</v>
      </c>
      <c r="H7" s="71" t="s">
        <v>93</v>
      </c>
      <c r="I7" s="73" t="s">
        <v>94</v>
      </c>
      <c r="K7" s="71" t="s">
        <v>92</v>
      </c>
    </row>
    <row r="8" spans="4:12" x14ac:dyDescent="0.25">
      <c r="D8" s="2" t="s">
        <v>100</v>
      </c>
      <c r="E8">
        <v>0</v>
      </c>
      <c r="F8" s="87">
        <v>3</v>
      </c>
      <c r="G8" s="72">
        <f>F5</f>
        <v>100</v>
      </c>
      <c r="H8" s="72">
        <f>G8</f>
        <v>100</v>
      </c>
      <c r="I8" s="5">
        <f t="shared" ref="I8:I29" si="0">(1-$F$6)^F8</f>
        <v>0.72900000000000009</v>
      </c>
      <c r="J8" s="70">
        <f>G8*I8</f>
        <v>72.900000000000006</v>
      </c>
      <c r="K8" s="70">
        <f>J8</f>
        <v>72.900000000000006</v>
      </c>
    </row>
    <row r="9" spans="4:12" x14ac:dyDescent="0.25">
      <c r="D9" s="2" t="s">
        <v>101</v>
      </c>
      <c r="E9">
        <v>1</v>
      </c>
      <c r="F9">
        <f>F8+$F$4</f>
        <v>5</v>
      </c>
      <c r="G9" s="72">
        <f>G8/2</f>
        <v>50</v>
      </c>
      <c r="H9" s="72">
        <f>H8+G9</f>
        <v>150</v>
      </c>
      <c r="I9" s="5">
        <f t="shared" si="0"/>
        <v>0.59049000000000018</v>
      </c>
      <c r="J9" s="70">
        <f t="shared" ref="J9:J29" si="1">G9*I9</f>
        <v>29.52450000000001</v>
      </c>
      <c r="K9" s="70">
        <f>K8+J9</f>
        <v>102.42450000000002</v>
      </c>
    </row>
    <row r="10" spans="4:12" x14ac:dyDescent="0.25">
      <c r="D10" s="2" t="s">
        <v>102</v>
      </c>
      <c r="E10">
        <v>2</v>
      </c>
      <c r="F10">
        <f t="shared" ref="F10:F19" si="2">F9+$F$4</f>
        <v>7</v>
      </c>
      <c r="G10" s="72">
        <f t="shared" ref="G10:G29" si="3">G9/2</f>
        <v>25</v>
      </c>
      <c r="H10" s="72">
        <f t="shared" ref="H10:H29" si="4">H9+G10</f>
        <v>175</v>
      </c>
      <c r="I10" s="5">
        <f t="shared" si="0"/>
        <v>0.47829690000000014</v>
      </c>
      <c r="J10" s="70">
        <f t="shared" si="1"/>
        <v>11.957422500000003</v>
      </c>
      <c r="K10" s="70">
        <f t="shared" ref="K10:K29" si="5">K9+J10</f>
        <v>114.38192250000003</v>
      </c>
    </row>
    <row r="11" spans="4:12" x14ac:dyDescent="0.25">
      <c r="D11" s="2" t="s">
        <v>103</v>
      </c>
      <c r="E11">
        <v>3</v>
      </c>
      <c r="F11">
        <f t="shared" si="2"/>
        <v>9</v>
      </c>
      <c r="G11" s="72">
        <f t="shared" si="3"/>
        <v>12.5</v>
      </c>
      <c r="H11" s="72">
        <f t="shared" si="4"/>
        <v>187.5</v>
      </c>
      <c r="I11" s="5">
        <f t="shared" si="0"/>
        <v>0.38742048900000015</v>
      </c>
      <c r="J11" s="70">
        <f t="shared" si="1"/>
        <v>4.8427561125000018</v>
      </c>
      <c r="K11" s="70">
        <f t="shared" si="5"/>
        <v>119.22467861250003</v>
      </c>
    </row>
    <row r="12" spans="4:12" x14ac:dyDescent="0.25">
      <c r="E12">
        <v>4</v>
      </c>
      <c r="F12">
        <f t="shared" si="2"/>
        <v>11</v>
      </c>
      <c r="G12" s="72">
        <f t="shared" si="3"/>
        <v>6.25</v>
      </c>
      <c r="H12" s="72">
        <f t="shared" si="4"/>
        <v>193.75</v>
      </c>
      <c r="I12" s="5">
        <f t="shared" si="0"/>
        <v>0.31381059609000017</v>
      </c>
      <c r="J12" s="70">
        <f t="shared" si="1"/>
        <v>1.9613162255625012</v>
      </c>
      <c r="K12" s="70">
        <f t="shared" si="5"/>
        <v>121.18599483806253</v>
      </c>
    </row>
    <row r="13" spans="4:12" x14ac:dyDescent="0.25">
      <c r="E13">
        <v>5</v>
      </c>
      <c r="F13">
        <f t="shared" si="2"/>
        <v>13</v>
      </c>
      <c r="G13" s="72">
        <f t="shared" si="3"/>
        <v>3.125</v>
      </c>
      <c r="H13" s="72">
        <f t="shared" si="4"/>
        <v>196.875</v>
      </c>
      <c r="I13" s="5">
        <f t="shared" si="0"/>
        <v>0.25418658283290019</v>
      </c>
      <c r="J13" s="70">
        <f t="shared" si="1"/>
        <v>0.79433307135281306</v>
      </c>
      <c r="K13" s="70">
        <f t="shared" si="5"/>
        <v>121.98032790941534</v>
      </c>
    </row>
    <row r="14" spans="4:12" x14ac:dyDescent="0.25">
      <c r="E14">
        <v>6</v>
      </c>
      <c r="F14">
        <f t="shared" si="2"/>
        <v>15</v>
      </c>
      <c r="G14" s="72">
        <f t="shared" si="3"/>
        <v>1.5625</v>
      </c>
      <c r="H14" s="72">
        <f t="shared" si="4"/>
        <v>198.4375</v>
      </c>
      <c r="I14" s="5">
        <f t="shared" si="0"/>
        <v>0.20589113209464913</v>
      </c>
      <c r="J14" s="70">
        <f t="shared" si="1"/>
        <v>0.32170489389788925</v>
      </c>
      <c r="K14" s="70">
        <f t="shared" si="5"/>
        <v>122.30203280331322</v>
      </c>
    </row>
    <row r="15" spans="4:12" x14ac:dyDescent="0.25">
      <c r="E15">
        <v>7</v>
      </c>
      <c r="F15">
        <f t="shared" si="2"/>
        <v>17</v>
      </c>
      <c r="G15" s="72">
        <f t="shared" si="3"/>
        <v>0.78125</v>
      </c>
      <c r="H15" s="72">
        <f t="shared" si="4"/>
        <v>199.21875</v>
      </c>
      <c r="I15" s="5">
        <f t="shared" si="0"/>
        <v>0.16677181699666582</v>
      </c>
      <c r="J15" s="70">
        <f t="shared" si="1"/>
        <v>0.13029048202864518</v>
      </c>
      <c r="K15" s="70">
        <f t="shared" si="5"/>
        <v>122.43232328534187</v>
      </c>
    </row>
    <row r="16" spans="4:12" x14ac:dyDescent="0.25">
      <c r="E16">
        <v>8</v>
      </c>
      <c r="F16">
        <f t="shared" si="2"/>
        <v>19</v>
      </c>
      <c r="G16" s="72">
        <f t="shared" si="3"/>
        <v>0.390625</v>
      </c>
      <c r="H16" s="72">
        <f t="shared" si="4"/>
        <v>199.609375</v>
      </c>
      <c r="I16" s="5">
        <f t="shared" si="0"/>
        <v>0.13508517176729934</v>
      </c>
      <c r="J16" s="70">
        <f t="shared" si="1"/>
        <v>5.2767645221601302E-2</v>
      </c>
      <c r="K16" s="70">
        <f t="shared" si="5"/>
        <v>122.48509093056347</v>
      </c>
    </row>
    <row r="17" spans="5:11" x14ac:dyDescent="0.25">
      <c r="E17">
        <v>9</v>
      </c>
      <c r="F17">
        <f t="shared" si="2"/>
        <v>21</v>
      </c>
      <c r="G17" s="72">
        <f t="shared" si="3"/>
        <v>0.1953125</v>
      </c>
      <c r="H17" s="72">
        <f t="shared" si="4"/>
        <v>199.8046875</v>
      </c>
      <c r="I17" s="5">
        <f t="shared" si="0"/>
        <v>0.10941898913151248</v>
      </c>
      <c r="J17" s="70">
        <f t="shared" si="1"/>
        <v>2.137089631474853E-2</v>
      </c>
      <c r="K17" s="70">
        <f t="shared" si="5"/>
        <v>122.50646182687822</v>
      </c>
    </row>
    <row r="18" spans="5:11" x14ac:dyDescent="0.25">
      <c r="E18">
        <v>10</v>
      </c>
      <c r="F18">
        <f t="shared" si="2"/>
        <v>23</v>
      </c>
      <c r="G18" s="72">
        <f t="shared" si="3"/>
        <v>9.765625E-2</v>
      </c>
      <c r="H18" s="72">
        <f t="shared" si="4"/>
        <v>199.90234375</v>
      </c>
      <c r="I18" s="5">
        <f t="shared" si="0"/>
        <v>8.8629381196525109E-2</v>
      </c>
      <c r="J18" s="70">
        <f t="shared" si="1"/>
        <v>8.6552130074731559E-3</v>
      </c>
      <c r="K18" s="70">
        <f t="shared" si="5"/>
        <v>122.51511703988569</v>
      </c>
    </row>
    <row r="19" spans="5:11" x14ac:dyDescent="0.25">
      <c r="E19">
        <v>11</v>
      </c>
      <c r="F19">
        <f t="shared" si="2"/>
        <v>25</v>
      </c>
      <c r="G19" s="72">
        <f t="shared" si="3"/>
        <v>4.8828125E-2</v>
      </c>
      <c r="H19" s="72">
        <f t="shared" si="4"/>
        <v>199.951171875</v>
      </c>
      <c r="I19" s="5">
        <f t="shared" si="0"/>
        <v>7.1789798769185342E-2</v>
      </c>
      <c r="J19" s="70">
        <f t="shared" si="1"/>
        <v>3.505361268026628E-3</v>
      </c>
      <c r="K19" s="70">
        <f t="shared" si="5"/>
        <v>122.51862240115372</v>
      </c>
    </row>
    <row r="20" spans="5:11" x14ac:dyDescent="0.25">
      <c r="E20">
        <v>12</v>
      </c>
      <c r="F20">
        <f t="shared" ref="F20:F29" si="6">F19+$F$4</f>
        <v>27</v>
      </c>
      <c r="G20" s="72">
        <f t="shared" si="3"/>
        <v>2.44140625E-2</v>
      </c>
      <c r="H20" s="72">
        <f t="shared" si="4"/>
        <v>199.9755859375</v>
      </c>
      <c r="I20" s="5">
        <f t="shared" si="0"/>
        <v>5.8149737003040138E-2</v>
      </c>
      <c r="J20" s="70">
        <f t="shared" si="1"/>
        <v>1.4196713135507847E-3</v>
      </c>
      <c r="K20" s="70">
        <f t="shared" si="5"/>
        <v>122.52004207246728</v>
      </c>
    </row>
    <row r="21" spans="5:11" x14ac:dyDescent="0.25">
      <c r="E21">
        <v>13</v>
      </c>
      <c r="F21">
        <f t="shared" si="6"/>
        <v>29</v>
      </c>
      <c r="G21" s="72">
        <f t="shared" si="3"/>
        <v>1.220703125E-2</v>
      </c>
      <c r="H21" s="72">
        <f t="shared" si="4"/>
        <v>199.98779296875</v>
      </c>
      <c r="I21" s="5">
        <f t="shared" si="0"/>
        <v>4.7101286972462519E-2</v>
      </c>
      <c r="J21" s="70">
        <f t="shared" si="1"/>
        <v>5.7496688198806786E-4</v>
      </c>
      <c r="K21" s="70">
        <f t="shared" si="5"/>
        <v>122.52061703934926</v>
      </c>
    </row>
    <row r="22" spans="5:11" x14ac:dyDescent="0.25">
      <c r="E22">
        <v>14</v>
      </c>
      <c r="F22">
        <f t="shared" si="6"/>
        <v>31</v>
      </c>
      <c r="G22" s="72">
        <f t="shared" si="3"/>
        <v>6.103515625E-3</v>
      </c>
      <c r="H22" s="72">
        <f t="shared" si="4"/>
        <v>199.993896484375</v>
      </c>
      <c r="I22" s="5">
        <f t="shared" si="0"/>
        <v>3.8152042447694635E-2</v>
      </c>
      <c r="J22" s="70">
        <f t="shared" si="1"/>
        <v>2.3286158720516744E-4</v>
      </c>
      <c r="K22" s="70">
        <f t="shared" si="5"/>
        <v>122.52084990093647</v>
      </c>
    </row>
    <row r="23" spans="5:11" x14ac:dyDescent="0.25">
      <c r="E23">
        <v>15</v>
      </c>
      <c r="F23">
        <f t="shared" si="6"/>
        <v>33</v>
      </c>
      <c r="G23" s="72">
        <f t="shared" si="3"/>
        <v>3.0517578125E-3</v>
      </c>
      <c r="H23" s="72">
        <f t="shared" si="4"/>
        <v>199.9969482421875</v>
      </c>
      <c r="I23" s="5">
        <f t="shared" si="0"/>
        <v>3.090315438263266E-2</v>
      </c>
      <c r="J23" s="70">
        <f t="shared" si="1"/>
        <v>9.4308942818092836E-5</v>
      </c>
      <c r="K23" s="70">
        <f t="shared" si="5"/>
        <v>122.52094420987929</v>
      </c>
    </row>
    <row r="24" spans="5:11" x14ac:dyDescent="0.25">
      <c r="E24">
        <v>16</v>
      </c>
      <c r="F24">
        <f t="shared" si="6"/>
        <v>35</v>
      </c>
      <c r="G24" s="72">
        <f t="shared" si="3"/>
        <v>1.52587890625E-3</v>
      </c>
      <c r="H24" s="72">
        <f t="shared" si="4"/>
        <v>199.99847412109375</v>
      </c>
      <c r="I24" s="5">
        <f t="shared" si="0"/>
        <v>2.5031555049932458E-2</v>
      </c>
      <c r="J24" s="70">
        <f t="shared" si="1"/>
        <v>3.8195121841327605E-5</v>
      </c>
      <c r="K24" s="70">
        <f t="shared" si="5"/>
        <v>122.52098240500113</v>
      </c>
    </row>
    <row r="25" spans="5:11" x14ac:dyDescent="0.25">
      <c r="E25">
        <v>17</v>
      </c>
      <c r="F25">
        <f t="shared" si="6"/>
        <v>37</v>
      </c>
      <c r="G25" s="72">
        <f t="shared" si="3"/>
        <v>7.62939453125E-4</v>
      </c>
      <c r="H25" s="72">
        <f t="shared" si="4"/>
        <v>199.99923706054688</v>
      </c>
      <c r="I25" s="5">
        <f t="shared" si="0"/>
        <v>2.0275559590445295E-2</v>
      </c>
      <c r="J25" s="70">
        <f t="shared" si="1"/>
        <v>1.5469024345737683E-5</v>
      </c>
      <c r="K25" s="70">
        <f t="shared" si="5"/>
        <v>122.52099787402548</v>
      </c>
    </row>
    <row r="26" spans="5:11" x14ac:dyDescent="0.25">
      <c r="E26">
        <v>18</v>
      </c>
      <c r="F26">
        <f t="shared" si="6"/>
        <v>39</v>
      </c>
      <c r="G26" s="72">
        <f t="shared" si="3"/>
        <v>3.814697265625E-4</v>
      </c>
      <c r="H26" s="72">
        <f t="shared" si="4"/>
        <v>199.99961853027344</v>
      </c>
      <c r="I26" s="5">
        <f t="shared" si="0"/>
        <v>1.6423203268260689E-2</v>
      </c>
      <c r="J26" s="70">
        <f t="shared" si="1"/>
        <v>6.2649548600237613E-6</v>
      </c>
      <c r="K26" s="70">
        <f t="shared" si="5"/>
        <v>122.52100413898035</v>
      </c>
    </row>
    <row r="27" spans="5:11" x14ac:dyDescent="0.25">
      <c r="E27">
        <v>19</v>
      </c>
      <c r="F27">
        <f t="shared" si="6"/>
        <v>41</v>
      </c>
      <c r="G27" s="72">
        <f t="shared" si="3"/>
        <v>1.9073486328125E-4</v>
      </c>
      <c r="H27" s="72">
        <f t="shared" si="4"/>
        <v>199.99980926513672</v>
      </c>
      <c r="I27" s="5">
        <f t="shared" si="0"/>
        <v>1.3302794647291158E-2</v>
      </c>
      <c r="J27" s="70">
        <f t="shared" si="1"/>
        <v>2.5373067183096234E-6</v>
      </c>
      <c r="K27" s="70">
        <f t="shared" si="5"/>
        <v>122.52100667628706</v>
      </c>
    </row>
    <row r="28" spans="5:11" x14ac:dyDescent="0.25">
      <c r="E28">
        <v>20</v>
      </c>
      <c r="F28">
        <f t="shared" si="6"/>
        <v>43</v>
      </c>
      <c r="G28" s="72">
        <f t="shared" si="3"/>
        <v>9.5367431640625E-5</v>
      </c>
      <c r="H28" s="72">
        <f t="shared" si="4"/>
        <v>199.99990463256836</v>
      </c>
      <c r="I28" s="5">
        <f t="shared" si="0"/>
        <v>1.077526366430584E-2</v>
      </c>
      <c r="J28" s="70">
        <f t="shared" si="1"/>
        <v>1.0276092209153975E-6</v>
      </c>
      <c r="K28" s="70">
        <f t="shared" si="5"/>
        <v>122.52100770389627</v>
      </c>
    </row>
    <row r="29" spans="5:11" x14ac:dyDescent="0.25">
      <c r="E29">
        <v>21</v>
      </c>
      <c r="F29">
        <f t="shared" si="6"/>
        <v>45</v>
      </c>
      <c r="G29" s="72">
        <f t="shared" si="3"/>
        <v>4.76837158203125E-5</v>
      </c>
      <c r="H29" s="72">
        <f t="shared" si="4"/>
        <v>199.99995231628418</v>
      </c>
      <c r="I29" s="5">
        <f t="shared" si="0"/>
        <v>8.7279635680877331E-3</v>
      </c>
      <c r="J29" s="70">
        <f t="shared" si="1"/>
        <v>4.1618173447073618E-7</v>
      </c>
      <c r="K29" s="70">
        <f t="shared" si="5"/>
        <v>122.52100812007801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comparison</vt:lpstr>
      <vt:lpstr>geneflow&amp;discounting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devrieslocal</dc:creator>
  <cp:lastModifiedBy>De Vries,Albert</cp:lastModifiedBy>
  <dcterms:created xsi:type="dcterms:W3CDTF">2017-09-04T19:29:55Z</dcterms:created>
  <dcterms:modified xsi:type="dcterms:W3CDTF">2026-02-08T23:23:00Z</dcterms:modified>
</cp:coreProperties>
</file>